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<sst xmlns="http://schemas.openxmlformats.org/spreadsheetml/2006/main" count="613" uniqueCount="215">
  <si>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</si>
  <si>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</si>
  <si>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</si>
  <si>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</si>
  <si>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</si>
  <si>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</si>
  <si>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</si>
  <si>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</si>
  <si>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</si>
  <si>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</si>
  <si>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</si>
  <si>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</si>
  <si>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</si>
  <si>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</si>
  <si>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</si>
  <si>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</si>
  <si>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</si>
  <si>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</si>
  <si>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</si>
  <si>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</si>
  <si>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</si>
  <si>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</si>
  <si>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</si>
  <si>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</si>
  <si>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</si>
  <si>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</si>
  <si>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</si>
  <si>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</si>
  <si>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</si>
  <si>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</si>
  <si>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</si>
  <si>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</si>
  <si>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</si>
  <si>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</si>
  <si>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</si>
  <si>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</si>
  <si>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</si>
  <si>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</si>
  <si>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</si>
  <si>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</si>
  <si>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</si>
  <si>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</si>
  <si>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</si>
  <si>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</si>
  <si>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</si>
  <si>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</si>
  <si>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</si>
  <si>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</si>
  <si>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</si>
  <si>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</si>
  <si>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</si>
  <si>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</si>
  <si>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</si>
  <si>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</si>
  <si>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</si>
  <si>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</si>
  <si>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</si>
  <si>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</si>
  <si>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</si>
  <si>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</si>
  <si>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</si>
  <si>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</si>
  <si>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</si>
  <si>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</si>
  <si>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</si>
  <si>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</si>
  <si>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</si>
  <si>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</si>
  <si>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</si>
  <si>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</si>
  <si>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</si>
  <si>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</si>
  <si>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</si>
  <si>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</si>
  <si>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</si>
  <si>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</si>
  <si>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</si>
  <si>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</si>
  <si>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</si>
  <si>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</si>
  <si>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</si>
  <si>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</si>
  <si>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</si>
  <si>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</si>
  <si>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</si>
  <si>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</si>
  <si>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</si>
  <si>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</si>
  <si>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</si>
  <si>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</si>
  <si>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</si>
  <si>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</si>
  <si>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</si>
  <si>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</si>
  <si>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</si>
  <si>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</si>
  <si>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</si>
  <si>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</si>
  <si>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</si>
  <si>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</si>
  <si>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</si>
  <si>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</si>
  <si>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</si>
  <si>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</si>
  <si>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</si>
  <si>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</si>
  <si>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</si>
  <si>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</si>
  <si>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</si>
  <si>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</si>
  <si>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</si>
  <si>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</si>
  <si>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</si>
  <si>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</si>
  <si>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</si>
  <si>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</si>
  <si>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</si>
  <si>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</si>
  <si>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</si>
  <si>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</si>
  <si>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</si>
  <si>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</si>
  <si>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</si>
  <si>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</si>
  <si>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</si>
  <si>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</si>
  <si>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</si>
  <si>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</si>
  <si>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</si>
  <si>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</si>
  <si>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</si>
  <si>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</si>
  <si>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</si>
  <si>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</si>
  <si>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</si>
  <si>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</si>
  <si>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</si>
  <si>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</si>
  <si>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</si>
  <si>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</si>
  <si>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</si>
  <si>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</si>
  <si>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</si>
  <si>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</si>
  <si>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</si>
  <si>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</si>
  <si>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</si>
  <si>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</si>
  <si>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</si>
  <si>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</si>
  <si>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</si>
  <si>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</si>
  <si>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</si>
  <si>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</si>
  <si>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</si>
  <si>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</si>
  <si>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</si>
  <si>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</si>
  <si>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</si>
  <si>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</si>
  <si>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</si>
  <si>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</si>
  <si>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</si>
  <si>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</si>
  <si>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</si>
  <si>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</si>
  <si>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</si>
  <si>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</si>
  <si>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</si>
  <si>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</si>
  <si>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</si>
  <si>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</si>
  <si>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</si>
  <si>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</si>
  <si>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</si>
  <si>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</si>
  <si>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</si>
  <si>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</si>
  <si>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</si>
  <si>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</si>
  <si>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</si>
  <si>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</si>
  <si>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</si>
  <si>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</si>
  <si>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</si>
  <si>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</si>
  <si>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</si>
  <si>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</si>
  <si>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</si>
  <si>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</si>
  <si>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</si>
  <si>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</si>
  <si>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</si>
  <si>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Затверджений план на січень-березень</t>
  </si>
  <si>
    <t>Необхідно ще отримати до плану на січень-березень</t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</si>
  <si>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</si>
  <si>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</si>
  <si>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</si>
  <si>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</si>
  <si>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</si>
  <si>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</si>
  <si>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</si>
  <si>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</si>
  <si>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</si>
  <si>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</si>
  <si>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</si>
  <si>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</si>
  <si>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</si>
  <si>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</si>
  <si>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</si>
  <si>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 на січень-лютий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</si>
  <si>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</si>
  <si>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</si>
  <si>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</si>
  <si>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20.03.14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</si>
</sst>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Лист4"/>
      <sheetName val="очік-01"/>
    </sheetNames>
    <sheetDataSet>
      <sheetData sheetId="16">
        <row r="6">
          <cell r="G6">
            <v>111898231.48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102073837.88999999</v>
          </cell>
        </row>
      </sheetData>
      <sheetData sheetId="18">
        <row r="28">
          <cell r="C28">
            <v>4044901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9" sqref="F14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211</v>
      </c>
      <c r="N3" s="208" t="s">
        <v>198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207</v>
      </c>
      <c r="H4" s="177" t="s">
        <v>195</v>
      </c>
      <c r="I4" s="211" t="s">
        <v>187</v>
      </c>
      <c r="J4" s="197" t="s">
        <v>188</v>
      </c>
      <c r="K4" s="201" t="s">
        <v>196</v>
      </c>
      <c r="L4" s="202"/>
      <c r="M4" s="214"/>
      <c r="N4" s="168" t="s">
        <v>214</v>
      </c>
      <c r="O4" s="211" t="s">
        <v>136</v>
      </c>
      <c r="P4" s="211" t="s">
        <v>135</v>
      </c>
      <c r="Q4" s="201" t="s">
        <v>197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210</v>
      </c>
      <c r="F5" s="216"/>
      <c r="G5" s="210"/>
      <c r="H5" s="178"/>
      <c r="I5" s="212"/>
      <c r="J5" s="199"/>
      <c r="K5" s="153"/>
      <c r="L5" s="164"/>
      <c r="M5" s="151" t="s">
        <v>212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88012.81000000001</v>
      </c>
      <c r="G8" s="22">
        <f aca="true" t="shared" si="0" ref="G8:G30">F8-E8</f>
        <v>-27225.09000000001</v>
      </c>
      <c r="H8" s="51">
        <f>F8/E8*100</f>
        <v>76.37488187479985</v>
      </c>
      <c r="I8" s="36">
        <f aca="true" t="shared" si="1" ref="I8:I17">F8-D8</f>
        <v>-431316.49</v>
      </c>
      <c r="J8" s="36">
        <f aca="true" t="shared" si="2" ref="J8:J14">F8/D8*100</f>
        <v>16.947399270559163</v>
      </c>
      <c r="K8" s="36">
        <f>F8-110917.9</f>
        <v>-22905.089999999982</v>
      </c>
      <c r="L8" s="136">
        <f>F8/110917.9</f>
        <v>0.7934950986270026</v>
      </c>
      <c r="M8" s="22">
        <f>M10+M19+M33+M56+M68+M30</f>
        <v>41173.10000000001</v>
      </c>
      <c r="N8" s="22">
        <f>N10+N19+N33+N56+N68+N30</f>
        <v>18699.560000000005</v>
      </c>
      <c r="O8" s="36">
        <f aca="true" t="shared" si="3" ref="O8:O71">N8-M8</f>
        <v>-22473.540000000008</v>
      </c>
      <c r="P8" s="36">
        <f>F8/M8*100</f>
        <v>213.7628937340156</v>
      </c>
      <c r="Q8" s="36">
        <f>N8-38338.6</f>
        <v>-19639.039999999994</v>
      </c>
      <c r="R8" s="134">
        <f>N8/38338.6</f>
        <v>0.48774759641718807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71354.41</v>
      </c>
      <c r="G9" s="22">
        <f t="shared" si="0"/>
        <v>71354.41</v>
      </c>
      <c r="H9" s="20"/>
      <c r="I9" s="56">
        <f t="shared" si="1"/>
        <v>-347011.79000000004</v>
      </c>
      <c r="J9" s="56">
        <f t="shared" si="2"/>
        <v>17.05549109846828</v>
      </c>
      <c r="K9" s="56"/>
      <c r="L9" s="135"/>
      <c r="M9" s="20">
        <f>M10+M17</f>
        <v>33586.40000000001</v>
      </c>
      <c r="N9" s="20">
        <f>N10+N17</f>
        <v>16608.420000000006</v>
      </c>
      <c r="O9" s="36">
        <f t="shared" si="3"/>
        <v>-16977.980000000003</v>
      </c>
      <c r="P9" s="56">
        <f>F9/M9*100</f>
        <v>212.45030726722715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f>67847.02+3507.39</f>
        <v>71354.41</v>
      </c>
      <c r="G10" s="49">
        <f t="shared" si="0"/>
        <v>-22102.190000000002</v>
      </c>
      <c r="H10" s="40">
        <f aca="true" t="shared" si="4" ref="H10:H17">F10/E10*100</f>
        <v>76.35031661755296</v>
      </c>
      <c r="I10" s="56">
        <f t="shared" si="1"/>
        <v>-347011.79000000004</v>
      </c>
      <c r="J10" s="56">
        <f t="shared" si="2"/>
        <v>17.05549109846828</v>
      </c>
      <c r="K10" s="141">
        <f>F10-85215.1</f>
        <v>-13860.690000000002</v>
      </c>
      <c r="L10" s="142">
        <f>F10/85215.1</f>
        <v>0.8373446724817549</v>
      </c>
      <c r="M10" s="40">
        <f>E10-лютий!E10</f>
        <v>33586.40000000001</v>
      </c>
      <c r="N10" s="40">
        <f>F10-лютий!F10</f>
        <v>16608.420000000006</v>
      </c>
      <c r="O10" s="53">
        <f t="shared" si="3"/>
        <v>-16977.980000000003</v>
      </c>
      <c r="P10" s="56">
        <f aca="true" t="shared" si="5" ref="P10:P17">N10/M10*100</f>
        <v>49.449836838720444</v>
      </c>
      <c r="Q10" s="141">
        <f>N10-30092.3</f>
        <v>-13483.879999999994</v>
      </c>
      <c r="R10" s="142">
        <f>N10/30092.3</f>
        <v>0.5519159386288188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794.64</v>
      </c>
      <c r="G19" s="49">
        <f t="shared" si="0"/>
        <v>-433.9599999999999</v>
      </c>
      <c r="H19" s="40">
        <f aca="true" t="shared" si="6" ref="H19:H29">F19/E19*100</f>
        <v>64.67849584893375</v>
      </c>
      <c r="I19" s="56">
        <f aca="true" t="shared" si="7" ref="I19:I29">F19-D19</f>
        <v>-5205.36</v>
      </c>
      <c r="J19" s="56">
        <f aca="true" t="shared" si="8" ref="J19:J29">F19/D19*100</f>
        <v>13.244</v>
      </c>
      <c r="K19" s="56">
        <f>F19-4285.5</f>
        <v>-3490.86</v>
      </c>
      <c r="L19" s="135">
        <f>F19/4285.5</f>
        <v>0.18542527126356317</v>
      </c>
      <c r="M19" s="40">
        <f>E19-лютий!E19</f>
        <v>510.9999999999999</v>
      </c>
      <c r="N19" s="40">
        <f>F19-лютий!F19</f>
        <v>55.52999999999997</v>
      </c>
      <c r="O19" s="53">
        <f t="shared" si="3"/>
        <v>-455.4699999999999</v>
      </c>
      <c r="P19" s="56">
        <f aca="true" t="shared" si="9" ref="P19:P29">N19/M19*100</f>
        <v>10.866927592954987</v>
      </c>
      <c r="Q19" s="56">
        <f>N19-409.4</f>
        <v>-353.87</v>
      </c>
      <c r="R19" s="135">
        <f>N19/409.4</f>
        <v>0.1356375183194919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180</v>
      </c>
      <c r="C29" s="143">
        <v>11010232</v>
      </c>
      <c r="D29" s="144">
        <v>3000</v>
      </c>
      <c r="E29" s="144">
        <v>728.6</v>
      </c>
      <c r="F29" s="146">
        <v>730.14</v>
      </c>
      <c r="G29" s="49">
        <f t="shared" si="0"/>
        <v>1.5399999999999636</v>
      </c>
      <c r="H29" s="40">
        <f t="shared" si="6"/>
        <v>100.21136426022508</v>
      </c>
      <c r="I29" s="56">
        <f t="shared" si="7"/>
        <v>-2269.86</v>
      </c>
      <c r="J29" s="56">
        <f t="shared" si="8"/>
        <v>24.337999999999997</v>
      </c>
      <c r="K29" s="148">
        <f>F29-731.3</f>
        <v>-1.1599999999999682</v>
      </c>
      <c r="L29" s="149">
        <f>F29/731.3</f>
        <v>0.9984137836729113</v>
      </c>
      <c r="M29" s="146">
        <f>E29-лютий!E29</f>
        <v>12.600000000000023</v>
      </c>
      <c r="N29" s="146">
        <f>F29-лютий!F29</f>
        <v>12.5</v>
      </c>
      <c r="O29" s="148">
        <f t="shared" si="3"/>
        <v>-0.10000000000002274</v>
      </c>
      <c r="P29" s="145">
        <f t="shared" si="9"/>
        <v>99.20634920634903</v>
      </c>
      <c r="Q29" s="145">
        <f>N29-408.7</f>
        <v>-396.2</v>
      </c>
      <c r="R29" s="196">
        <f>N29/408.7</f>
        <v>0.030584781012967948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f>14079.55+173.95</f>
        <v>14253.5</v>
      </c>
      <c r="G33" s="49">
        <f aca="true" t="shared" si="14" ref="G33:G72">F33-E33</f>
        <v>-4605</v>
      </c>
      <c r="H33" s="40">
        <f aca="true" t="shared" si="15" ref="H33:H67">F33/E33*100</f>
        <v>75.58130286077895</v>
      </c>
      <c r="I33" s="56">
        <f>F33-D33</f>
        <v>-73812.5</v>
      </c>
      <c r="J33" s="56">
        <f aca="true" t="shared" si="16" ref="J33:J72">F33/D33*100</f>
        <v>16.18502032566484</v>
      </c>
      <c r="K33" s="141">
        <f>F33-19762.7</f>
        <v>-5509.200000000001</v>
      </c>
      <c r="L33" s="142">
        <f>F33/19762.7</f>
        <v>0.7212324226952794</v>
      </c>
      <c r="M33" s="40">
        <f>E33-лютий!E33</f>
        <v>6470.299999999999</v>
      </c>
      <c r="N33" s="40">
        <f>F33-лютий!F33</f>
        <v>1496.5</v>
      </c>
      <c r="O33" s="53">
        <f t="shared" si="3"/>
        <v>-4973.799999999999</v>
      </c>
      <c r="P33" s="56">
        <f aca="true" t="shared" si="17" ref="P33:P67">N33/M33*100</f>
        <v>23.12875755374558</v>
      </c>
      <c r="Q33" s="141">
        <f>N33-7227.1</f>
        <v>-5730.6</v>
      </c>
      <c r="R33" s="142">
        <f>N33/7227.1</f>
        <v>0.2070678418729504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181</v>
      </c>
      <c r="C55" s="65"/>
      <c r="D55" s="144">
        <f>56066+10200</f>
        <v>66266</v>
      </c>
      <c r="E55" s="144">
        <f>13737.9+280.3</f>
        <v>14018.199999999999</v>
      </c>
      <c r="F55" s="146">
        <f>10584.83+159.38</f>
        <v>10744.21</v>
      </c>
      <c r="G55" s="144">
        <f t="shared" si="14"/>
        <v>-3273.99</v>
      </c>
      <c r="H55" s="146">
        <f t="shared" si="15"/>
        <v>76.64471900814655</v>
      </c>
      <c r="I55" s="145">
        <f t="shared" si="18"/>
        <v>-55521.79</v>
      </c>
      <c r="J55" s="145">
        <f t="shared" si="16"/>
        <v>16.213759695771586</v>
      </c>
      <c r="K55" s="148">
        <f>F55-14615.9</f>
        <v>-3871.6900000000005</v>
      </c>
      <c r="L55" s="149">
        <f>F55/14615.9</f>
        <v>0.7351042357980008</v>
      </c>
      <c r="M55" s="146">
        <f>E55-лютий!E55</f>
        <v>4518.199999999999</v>
      </c>
      <c r="N55" s="146">
        <f>F55-лютий!F55</f>
        <v>1264.0999999999985</v>
      </c>
      <c r="O55" s="148">
        <f t="shared" si="3"/>
        <v>-3254.1000000000004</v>
      </c>
      <c r="P55" s="148">
        <f t="shared" si="17"/>
        <v>27.977955823115373</v>
      </c>
      <c r="Q55" s="194">
        <f>N55-4813.8</f>
        <v>-3549.7000000000016</v>
      </c>
      <c r="R55" s="195">
        <f>N55/4813.8</f>
        <v>0.2625991939839625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f>1605.31+1.26</f>
        <v>1606.57</v>
      </c>
      <c r="G56" s="49">
        <f t="shared" si="14"/>
        <v>-78.52999999999997</v>
      </c>
      <c r="H56" s="40">
        <f t="shared" si="15"/>
        <v>95.33974244851939</v>
      </c>
      <c r="I56" s="56">
        <f t="shared" si="18"/>
        <v>-5253.43</v>
      </c>
      <c r="J56" s="56">
        <f t="shared" si="16"/>
        <v>23.41938775510204</v>
      </c>
      <c r="K56" s="56">
        <f>F56-1629.5</f>
        <v>-22.930000000000064</v>
      </c>
      <c r="L56" s="135">
        <f>F56/1629.5</f>
        <v>0.9859281988339981</v>
      </c>
      <c r="M56" s="40">
        <f>E56-лютий!E56</f>
        <v>605.3999999999999</v>
      </c>
      <c r="N56" s="40">
        <f>F56-лютий!F56</f>
        <v>539.1099999999999</v>
      </c>
      <c r="O56" s="53">
        <f t="shared" si="3"/>
        <v>-66.28999999999996</v>
      </c>
      <c r="P56" s="56">
        <f t="shared" si="17"/>
        <v>89.05021473406013</v>
      </c>
      <c r="Q56" s="56">
        <f>N56-609.7</f>
        <v>-70.59000000000015</v>
      </c>
      <c r="R56" s="135">
        <f>N56/609.7</f>
        <v>0.8842217484008527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F68-0.3</f>
        <v>0.48000000000000004</v>
      </c>
      <c r="L68" s="135"/>
      <c r="M68" s="40">
        <f>E68-лютий!E68</f>
        <v>0</v>
      </c>
      <c r="N68" s="40">
        <f>F68-лютий!F68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3003.82</v>
      </c>
      <c r="G74" s="50">
        <f aca="true" t="shared" si="24" ref="G74:G92">F74-E74</f>
        <v>171.82000000000016</v>
      </c>
      <c r="H74" s="51">
        <f aca="true" t="shared" si="25" ref="H74:H87">F74/E74*100</f>
        <v>106.06709039548024</v>
      </c>
      <c r="I74" s="36">
        <f aca="true" t="shared" si="26" ref="I74:I92">F74-D74</f>
        <v>-14661.779999999999</v>
      </c>
      <c r="J74" s="36">
        <f aca="true" t="shared" si="27" ref="J74:J92">F74/D74*100</f>
        <v>17.003781360384025</v>
      </c>
      <c r="K74" s="36">
        <f>F74-3848.8</f>
        <v>-844.98</v>
      </c>
      <c r="L74" s="136">
        <f>F74/3848.8</f>
        <v>0.7804562461026814</v>
      </c>
      <c r="M74" s="22">
        <f>M77+M86+M88+M89+M94+M95+M96+M97+M99+M87+M103</f>
        <v>965</v>
      </c>
      <c r="N74" s="22">
        <f>N77+N86+N88+N89+N94+N95+N96+N97+N99+N32+N103+N87</f>
        <v>899.3000000000001</v>
      </c>
      <c r="O74" s="55">
        <f aca="true" t="shared" si="28" ref="O74:O92">N74-M74</f>
        <v>-65.69999999999993</v>
      </c>
      <c r="P74" s="36">
        <f>N74/M74*100</f>
        <v>93.19170984455958</v>
      </c>
      <c r="Q74" s="36">
        <f>N74-1138.4</f>
        <v>-239.10000000000002</v>
      </c>
      <c r="R74" s="136">
        <f>N74/1138.4</f>
        <v>0.7899683766690091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170</v>
      </c>
      <c r="C87" s="64">
        <v>21080500</v>
      </c>
      <c r="D87" s="41"/>
      <c r="E87" s="41">
        <v>0</v>
      </c>
      <c r="F87" s="57">
        <f>204.64+2.25</f>
        <v>206.89</v>
      </c>
      <c r="G87" s="49">
        <f t="shared" si="24"/>
        <v>206.89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109.50999999999999</v>
      </c>
      <c r="O87" s="53">
        <f t="shared" si="28"/>
        <v>109.50999999999999</v>
      </c>
      <c r="P87" s="56" t="e">
        <f t="shared" si="29"/>
        <v>#DIV/0!</v>
      </c>
      <c r="Q87" s="56">
        <f>N87-0</f>
        <v>109.50999999999999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f>23.54+1.54</f>
        <v>25.08</v>
      </c>
      <c r="G89" s="49">
        <f t="shared" si="24"/>
        <v>-13.920000000000002</v>
      </c>
      <c r="H89" s="40">
        <f>F89/E89*100</f>
        <v>64.30769230769229</v>
      </c>
      <c r="I89" s="56">
        <f t="shared" si="26"/>
        <v>-149.92000000000002</v>
      </c>
      <c r="J89" s="56">
        <f t="shared" si="27"/>
        <v>14.33142857142857</v>
      </c>
      <c r="K89" s="56">
        <f>F89-47.5</f>
        <v>-22.42</v>
      </c>
      <c r="L89" s="135">
        <f>F89/47.5</f>
        <v>0.5279999999999999</v>
      </c>
      <c r="M89" s="40">
        <f>E89-лютий!E89</f>
        <v>15</v>
      </c>
      <c r="N89" s="40">
        <f>F89-лютий!F89</f>
        <v>5.669999999999998</v>
      </c>
      <c r="O89" s="53">
        <f t="shared" si="28"/>
        <v>-9.330000000000002</v>
      </c>
      <c r="P89" s="56">
        <f>N89/M89*100</f>
        <v>37.79999999999999</v>
      </c>
      <c r="Q89" s="56">
        <f>N89-15.9</f>
        <v>-10.230000000000002</v>
      </c>
      <c r="R89" s="135">
        <f>N89/15.9</f>
        <v>0.3566037735849055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1714.93</v>
      </c>
      <c r="G95" s="49">
        <f t="shared" si="31"/>
        <v>38.430000000000064</v>
      </c>
      <c r="H95" s="40">
        <f>F95/E95*100</f>
        <v>102.29227557411274</v>
      </c>
      <c r="I95" s="56">
        <f t="shared" si="32"/>
        <v>-4585.07</v>
      </c>
      <c r="J95" s="56">
        <f>F95/D95*100</f>
        <v>27.221111111111114</v>
      </c>
      <c r="K95" s="56">
        <f>F95-1478.7</f>
        <v>236.23000000000002</v>
      </c>
      <c r="L95" s="135">
        <f>F95/1478.7</f>
        <v>1.1597551903699195</v>
      </c>
      <c r="M95" s="40">
        <f>E95-лютий!E95</f>
        <v>515</v>
      </c>
      <c r="N95" s="40">
        <f>F95-лютий!F95</f>
        <v>525.01</v>
      </c>
      <c r="O95" s="53">
        <f t="shared" si="33"/>
        <v>10.009999999999991</v>
      </c>
      <c r="P95" s="56">
        <f>N95/M95*100</f>
        <v>101.94368932038836</v>
      </c>
      <c r="Q95" s="56">
        <f>N95-653.7</f>
        <v>-128.69000000000005</v>
      </c>
      <c r="R95" s="135">
        <f>N95/653.7</f>
        <v>0.8031359951047881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f>171.25+5.66</f>
        <v>176.91</v>
      </c>
      <c r="G96" s="49">
        <f t="shared" si="31"/>
        <v>-47.59</v>
      </c>
      <c r="H96" s="40">
        <f>F96/E96*100</f>
        <v>78.80178173719376</v>
      </c>
      <c r="I96" s="56">
        <f t="shared" si="32"/>
        <v>-1023.09</v>
      </c>
      <c r="J96" s="56">
        <f>F96/D96*100</f>
        <v>14.7425</v>
      </c>
      <c r="K96" s="56">
        <f>F96-161.5</f>
        <v>15.409999999999997</v>
      </c>
      <c r="L96" s="135">
        <f>F96/161.5</f>
        <v>1.0954179566563467</v>
      </c>
      <c r="M96" s="40">
        <f>E96-лютий!E96</f>
        <v>80</v>
      </c>
      <c r="N96" s="40">
        <f>F96-лютий!F96</f>
        <v>50.36999999999999</v>
      </c>
      <c r="O96" s="53">
        <f t="shared" si="33"/>
        <v>-29.63000000000001</v>
      </c>
      <c r="P96" s="56">
        <f>N96/M96*100</f>
        <v>62.96249999999999</v>
      </c>
      <c r="Q96" s="56">
        <f>N96-101.5</f>
        <v>-51.13000000000001</v>
      </c>
      <c r="R96" s="135">
        <f>N96/101.5</f>
        <v>0.4962561576354679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f>839.38+13.32</f>
        <v>852.7</v>
      </c>
      <c r="G99" s="49">
        <f t="shared" si="31"/>
        <v>75.70000000000005</v>
      </c>
      <c r="H99" s="40">
        <f>F99/E99*100</f>
        <v>109.74259974259975</v>
      </c>
      <c r="I99" s="56">
        <f t="shared" si="32"/>
        <v>-3027.3</v>
      </c>
      <c r="J99" s="56">
        <f>F99/D99*100</f>
        <v>21.97680412371134</v>
      </c>
      <c r="K99" s="56">
        <f>F99-730.6</f>
        <v>122.10000000000002</v>
      </c>
      <c r="L99" s="135">
        <f>F99/730.6</f>
        <v>1.1671229126745142</v>
      </c>
      <c r="M99" s="40">
        <f>E99-лютий!E99</f>
        <v>250</v>
      </c>
      <c r="N99" s="40">
        <f>F99-лютий!F99</f>
        <v>200.70000000000005</v>
      </c>
      <c r="O99" s="53">
        <f t="shared" si="33"/>
        <v>-49.299999999999955</v>
      </c>
      <c r="P99" s="56">
        <f>N99/M99*100</f>
        <v>80.28000000000002</v>
      </c>
      <c r="Q99" s="56">
        <f>N99-242.1</f>
        <v>-41.39999999999995</v>
      </c>
      <c r="R99" s="135">
        <f>N99/242.1</f>
        <v>0.8289962825278813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163.2</v>
      </c>
      <c r="G102" s="144"/>
      <c r="H102" s="146"/>
      <c r="I102" s="145"/>
      <c r="J102" s="145"/>
      <c r="K102" s="148">
        <f>F102-88.6</f>
        <v>74.6</v>
      </c>
      <c r="L102" s="149">
        <f>F102/88.6</f>
        <v>1.8419864559819412</v>
      </c>
      <c r="M102" s="40">
        <f>E102-лютий!E102</f>
        <v>0</v>
      </c>
      <c r="N102" s="40">
        <f>F102-лютий!F102</f>
        <v>33.099999999999994</v>
      </c>
      <c r="O102" s="53"/>
      <c r="P102" s="60"/>
      <c r="Q102" s="60">
        <f>N102-31.4</f>
        <v>1.6999999999999957</v>
      </c>
      <c r="R102" s="135">
        <f>N102/31.4</f>
        <v>1.054140127388535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F103-24.2</f>
        <v>-24.2</v>
      </c>
      <c r="L103" s="135">
        <f>F103/24.2</f>
        <v>0</v>
      </c>
      <c r="M103" s="40">
        <f>E103-лютий!E103</f>
        <v>24.5</v>
      </c>
      <c r="N103" s="40">
        <f>F103-лютий!F103</f>
        <v>0</v>
      </c>
      <c r="O103" s="53">
        <f aca="true" t="shared" si="35" ref="O103:O109">N103-M103</f>
        <v>-24.5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2.65</v>
      </c>
      <c r="G104" s="49">
        <f>F104-E104</f>
        <v>-3.5500000000000003</v>
      </c>
      <c r="H104" s="40"/>
      <c r="I104" s="56">
        <f t="shared" si="34"/>
        <v>-42.35</v>
      </c>
      <c r="J104" s="56">
        <f aca="true" t="shared" si="36" ref="J104:J109">F104/D104*100</f>
        <v>5.888888888888888</v>
      </c>
      <c r="K104" s="56">
        <f>F104-12.1</f>
        <v>-9.45</v>
      </c>
      <c r="L104" s="135">
        <f>F104/12.1</f>
        <v>0.2190082644628099</v>
      </c>
      <c r="M104" s="40">
        <f>E104-лютий!E104</f>
        <v>2</v>
      </c>
      <c r="N104" s="40">
        <f>F104-лютий!F104</f>
        <v>-0.03000000000000025</v>
      </c>
      <c r="O104" s="53">
        <f t="shared" si="35"/>
        <v>-2.0300000000000002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91019.32</v>
      </c>
      <c r="G106" s="50">
        <f>F106-E106</f>
        <v>-27056.780000000013</v>
      </c>
      <c r="H106" s="51">
        <f>F106/E106*100</f>
        <v>77.08530346107297</v>
      </c>
      <c r="I106" s="36">
        <f t="shared" si="34"/>
        <v>-446020.58</v>
      </c>
      <c r="J106" s="36">
        <f t="shared" si="36"/>
        <v>16.94833475129129</v>
      </c>
      <c r="K106" s="36">
        <f>F106-114781.4</f>
        <v>-23762.079999999987</v>
      </c>
      <c r="L106" s="136">
        <f>F106/114781.4</f>
        <v>0.7929796988013739</v>
      </c>
      <c r="M106" s="22">
        <f>M8+M74+M104+M105</f>
        <v>42140.10000000001</v>
      </c>
      <c r="N106" s="22">
        <f>N8+N74+N104+N105</f>
        <v>19598.860000000004</v>
      </c>
      <c r="O106" s="55">
        <f t="shared" si="35"/>
        <v>-22541.24000000001</v>
      </c>
      <c r="P106" s="36">
        <f>N106/M106*100</f>
        <v>46.50881227144691</v>
      </c>
      <c r="Q106" s="36">
        <f>N106-39480.5</f>
        <v>-19881.639999999996</v>
      </c>
      <c r="R106" s="136">
        <f>N106/39480.5</f>
        <v>0.49641873836450917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71531.32</v>
      </c>
      <c r="G107" s="71">
        <f>G10-G18+G96</f>
        <v>-22149.780000000002</v>
      </c>
      <c r="H107" s="72">
        <f>F107/E107*100</f>
        <v>76.35619137691594</v>
      </c>
      <c r="I107" s="52">
        <f t="shared" si="34"/>
        <v>-348034.88</v>
      </c>
      <c r="J107" s="52">
        <f t="shared" si="36"/>
        <v>17.048875719731477</v>
      </c>
      <c r="K107" s="52">
        <f>F107-85425.6</f>
        <v>-13894.279999999999</v>
      </c>
      <c r="L107" s="137">
        <f>F107/85425.6</f>
        <v>0.8373522691090259</v>
      </c>
      <c r="M107" s="71">
        <f>M10-M18+M96</f>
        <v>33666.40000000001</v>
      </c>
      <c r="N107" s="71">
        <f>N10-N18+N96</f>
        <v>16658.790000000005</v>
      </c>
      <c r="O107" s="53">
        <f t="shared" si="35"/>
        <v>-17007.610000000004</v>
      </c>
      <c r="P107" s="52">
        <f>N107/M107*100</f>
        <v>49.48194639165459</v>
      </c>
      <c r="Q107" s="52">
        <f>N107-30211.8</f>
        <v>-13553.009999999995</v>
      </c>
      <c r="R107" s="137">
        <f>N107/30211.8</f>
        <v>0.5514001151867814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19488</v>
      </c>
      <c r="G108" s="62">
        <f>F108-E108</f>
        <v>-4907.000000000015</v>
      </c>
      <c r="H108" s="72">
        <f>F108/E108*100</f>
        <v>79.88522238163553</v>
      </c>
      <c r="I108" s="52">
        <f t="shared" si="34"/>
        <v>-97985.70000000001</v>
      </c>
      <c r="J108" s="52">
        <f t="shared" si="36"/>
        <v>16.589245082090713</v>
      </c>
      <c r="K108" s="52">
        <f>F108-29355.8</f>
        <v>-9867.8</v>
      </c>
      <c r="L108" s="137">
        <f>F108/29355.8</f>
        <v>0.6638551836434368</v>
      </c>
      <c r="M108" s="71">
        <f>M106-M107</f>
        <v>8473.700000000004</v>
      </c>
      <c r="N108" s="71">
        <f>N106-N107</f>
        <v>2940.0699999999997</v>
      </c>
      <c r="O108" s="53">
        <f t="shared" si="35"/>
        <v>-5533.630000000005</v>
      </c>
      <c r="P108" s="52">
        <f>N108/M108*100</f>
        <v>34.696413609167166</v>
      </c>
      <c r="Q108" s="52">
        <f>N108-9268.6</f>
        <v>-6328.530000000001</v>
      </c>
      <c r="R108" s="137">
        <f>N108/9268.6</f>
        <v>0.3172075610124506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71531.32</v>
      </c>
      <c r="G109" s="111">
        <f>F109-E109</f>
        <v>-22149.78</v>
      </c>
      <c r="H109" s="72">
        <f>F109/E109*100</f>
        <v>76.35619137691594</v>
      </c>
      <c r="I109" s="81">
        <f t="shared" si="34"/>
        <v>-348034.88</v>
      </c>
      <c r="J109" s="52">
        <f t="shared" si="36"/>
        <v>17.048875719731477</v>
      </c>
      <c r="K109" s="52"/>
      <c r="L109" s="137"/>
      <c r="M109" s="122">
        <f>E109-лютий!E109</f>
        <v>33666.40000000001</v>
      </c>
      <c r="N109" s="71">
        <f>N107</f>
        <v>16658.790000000005</v>
      </c>
      <c r="O109" s="118">
        <f t="shared" si="35"/>
        <v>-17007.610000000004</v>
      </c>
      <c r="P109" s="52">
        <f>N109/M109*100</f>
        <v>49.48194639165459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4870.4</v>
      </c>
      <c r="F110" s="87">
        <f>'[1]березень'!$C$28/1000</f>
        <v>4044.901</v>
      </c>
      <c r="G110" s="62">
        <f>F110-E110</f>
        <v>-825.4989999999998</v>
      </c>
      <c r="H110" s="72"/>
      <c r="I110" s="85">
        <f t="shared" si="34"/>
        <v>-825.4790000000003</v>
      </c>
      <c r="J110" s="52"/>
      <c r="K110" s="52"/>
      <c r="L110" s="137"/>
      <c r="M110" s="40">
        <f>E110-лютий!E110</f>
        <v>1650.9889999999996</v>
      </c>
      <c r="N110" s="71">
        <f>F110-лютий!F110</f>
        <v>825.4899999999998</v>
      </c>
      <c r="O110" s="86">
        <f>N110-M110</f>
        <v>-825.4989999999998</v>
      </c>
      <c r="P110" s="52">
        <f>N110/M110*100</f>
        <v>49.99972743610042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f>-2.97+0.09</f>
        <v>-2.8800000000000003</v>
      </c>
      <c r="G113" s="49">
        <f aca="true" t="shared" si="37" ref="G113:G125">F113-E113</f>
        <v>-2.8800000000000003</v>
      </c>
      <c r="H113" s="40"/>
      <c r="I113" s="60">
        <f aca="true" t="shared" si="38" ref="I113:I124">F113-D113</f>
        <v>-2.8800000000000003</v>
      </c>
      <c r="J113" s="60"/>
      <c r="K113" s="60">
        <f>F113-4.6</f>
        <v>-7.48</v>
      </c>
      <c r="L113" s="138">
        <f>F113/4.6</f>
        <v>-0.6260869565217393</v>
      </c>
      <c r="M113" s="40">
        <f>E113-лютий!E113</f>
        <v>0</v>
      </c>
      <c r="N113" s="40">
        <f>F113-лютий!F113</f>
        <v>-0.27000000000000046</v>
      </c>
      <c r="O113" s="53"/>
      <c r="P113" s="60"/>
      <c r="Q113" s="60">
        <f>N113-0.5</f>
        <v>-0.7700000000000005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f>207.31+0.18</f>
        <v>207.49</v>
      </c>
      <c r="G114" s="49">
        <f t="shared" si="37"/>
        <v>-507.11</v>
      </c>
      <c r="H114" s="40">
        <f aca="true" t="shared" si="39" ref="H114:H125">F114/E114*100</f>
        <v>29.03582423733557</v>
      </c>
      <c r="I114" s="60">
        <f t="shared" si="38"/>
        <v>-3464.01</v>
      </c>
      <c r="J114" s="60">
        <f aca="true" t="shared" si="40" ref="J114:J120">F114/D114*100</f>
        <v>5.651368650415361</v>
      </c>
      <c r="K114" s="60">
        <f>F114-834.4</f>
        <v>-626.91</v>
      </c>
      <c r="L114" s="138">
        <f>F114/834.4</f>
        <v>0.24866970278044107</v>
      </c>
      <c r="M114" s="40">
        <f>E114-лютий!E114</f>
        <v>327.5</v>
      </c>
      <c r="N114" s="40">
        <f>F114-лютий!F114</f>
        <v>28.25</v>
      </c>
      <c r="O114" s="53">
        <f aca="true" t="shared" si="41" ref="O114:O125">N114-M114</f>
        <v>-299.25</v>
      </c>
      <c r="P114" s="60">
        <f>N114/M114*100</f>
        <v>8.625954198473282</v>
      </c>
      <c r="Q114" s="60">
        <f>N114-228.9</f>
        <v>-200.65</v>
      </c>
      <c r="R114" s="138">
        <f>N114/228.9</f>
        <v>0.12341633901266928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275.3</v>
      </c>
      <c r="G116" s="62">
        <f t="shared" si="37"/>
        <v>-507.8</v>
      </c>
      <c r="H116" s="72">
        <f t="shared" si="39"/>
        <v>35.1551525986464</v>
      </c>
      <c r="I116" s="61">
        <f t="shared" si="38"/>
        <v>-3664.2999999999997</v>
      </c>
      <c r="J116" s="61">
        <f t="shared" si="40"/>
        <v>6.988019088232308</v>
      </c>
      <c r="K116" s="61">
        <f>F116-902.4</f>
        <v>-627.0999999999999</v>
      </c>
      <c r="L116" s="139">
        <f>F116/902.4</f>
        <v>0.3050753546099291</v>
      </c>
      <c r="M116" s="62">
        <f>M114+M115+M113</f>
        <v>349.5</v>
      </c>
      <c r="N116" s="38">
        <f>SUM(N113:N115)</f>
        <v>51.980000000000004</v>
      </c>
      <c r="O116" s="61">
        <f t="shared" si="41"/>
        <v>-297.52</v>
      </c>
      <c r="P116" s="61">
        <f>N116/M116*100</f>
        <v>14.872675250357656</v>
      </c>
      <c r="Q116" s="61">
        <f>N116-253.5</f>
        <v>-201.51999999999998</v>
      </c>
      <c r="R116" s="139">
        <f>N116/253.5</f>
        <v>0.20504930966469428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f>60.46+1.05</f>
        <v>61.51</v>
      </c>
      <c r="G118" s="49">
        <f t="shared" si="37"/>
        <v>61.51</v>
      </c>
      <c r="H118" s="40" t="e">
        <f t="shared" si="39"/>
        <v>#DIV/0!</v>
      </c>
      <c r="I118" s="60">
        <f t="shared" si="38"/>
        <v>61.51</v>
      </c>
      <c r="J118" s="60" t="e">
        <f t="shared" si="40"/>
        <v>#DIV/0!</v>
      </c>
      <c r="K118" s="60">
        <f>F118-7.7</f>
        <v>53.809999999999995</v>
      </c>
      <c r="L118" s="138">
        <f>F118/7.7</f>
        <v>7.988311688311688</v>
      </c>
      <c r="M118" s="40">
        <f>E118-лютий!E118</f>
        <v>0</v>
      </c>
      <c r="N118" s="40">
        <f>F118-лютий!F118</f>
        <v>4.119999999999997</v>
      </c>
      <c r="O118" s="53" t="s">
        <v>166</v>
      </c>
      <c r="P118" s="60"/>
      <c r="Q118" s="60">
        <f>N118-2.5</f>
        <v>1.6199999999999974</v>
      </c>
      <c r="R118" s="138">
        <f>N118/2.5</f>
        <v>1.647999999999999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f>18837.03+214.35</f>
        <v>19051.379999999997</v>
      </c>
      <c r="G119" s="49">
        <f t="shared" si="37"/>
        <v>438.77999999999884</v>
      </c>
      <c r="H119" s="40">
        <f t="shared" si="39"/>
        <v>102.35743528577414</v>
      </c>
      <c r="I119" s="53">
        <f t="shared" si="38"/>
        <v>-6936.005000000001</v>
      </c>
      <c r="J119" s="60">
        <f t="shared" si="40"/>
        <v>73.3101079619977</v>
      </c>
      <c r="K119" s="60">
        <f>F119-17244.2</f>
        <v>1807.1799999999967</v>
      </c>
      <c r="L119" s="138">
        <f>F119/17244.2</f>
        <v>1.1047992948353647</v>
      </c>
      <c r="M119" s="40">
        <f>E119-лютий!E119</f>
        <v>3092.999999999998</v>
      </c>
      <c r="N119" s="40">
        <f>F119-лютий!F119</f>
        <v>2170.0399999999972</v>
      </c>
      <c r="O119" s="53">
        <f t="shared" si="41"/>
        <v>-922.960000000001</v>
      </c>
      <c r="P119" s="60">
        <f aca="true" t="shared" si="42" ref="P119:P124">N119/M119*100</f>
        <v>70.15971548658256</v>
      </c>
      <c r="Q119" s="60">
        <f>N119-2792.9</f>
        <v>-622.8600000000029</v>
      </c>
      <c r="R119" s="138">
        <f>N119/2792.9</f>
        <v>0.7769844964015887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475.95</v>
      </c>
      <c r="G120" s="49">
        <f t="shared" si="37"/>
        <v>475.95</v>
      </c>
      <c r="H120" s="40" t="e">
        <f t="shared" si="39"/>
        <v>#DIV/0!</v>
      </c>
      <c r="I120" s="60">
        <f t="shared" si="38"/>
        <v>475.95</v>
      </c>
      <c r="J120" s="60" t="e">
        <f t="shared" si="40"/>
        <v>#DIV/0!</v>
      </c>
      <c r="K120" s="60">
        <f>F120-280.5</f>
        <v>195.45</v>
      </c>
      <c r="L120" s="138">
        <f>F120/230.5</f>
        <v>2.0648590021691975</v>
      </c>
      <c r="M120" s="40">
        <f>E120-лютий!E120</f>
        <v>0</v>
      </c>
      <c r="N120" s="40">
        <f>F120-лютий!F120</f>
        <v>0.05000000000001137</v>
      </c>
      <c r="O120" s="53">
        <f t="shared" si="41"/>
        <v>0.05000000000001137</v>
      </c>
      <c r="P120" s="60" t="e">
        <f t="shared" si="42"/>
        <v>#DIV/0!</v>
      </c>
      <c r="Q120" s="60">
        <f>N120-0</f>
        <v>0.05000000000001137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1130.84</v>
      </c>
      <c r="G121" s="49">
        <f t="shared" si="37"/>
        <v>1130.84</v>
      </c>
      <c r="H121" s="40" t="e">
        <f t="shared" si="39"/>
        <v>#DIV/0!</v>
      </c>
      <c r="I121" s="60">
        <f t="shared" si="38"/>
        <v>1130.84</v>
      </c>
      <c r="J121" s="60" t="e">
        <f>F121/D121*100</f>
        <v>#DIV/0!</v>
      </c>
      <c r="K121" s="60">
        <f>F121-6993.4</f>
        <v>-5862.5599999999995</v>
      </c>
      <c r="L121" s="138">
        <f>F121/6993.4</f>
        <v>0.161701032401979</v>
      </c>
      <c r="M121" s="40">
        <f>E121-лютий!E121</f>
        <v>0</v>
      </c>
      <c r="N121" s="40">
        <f>F121-лютий!F121</f>
        <v>87.66999999999985</v>
      </c>
      <c r="O121" s="53">
        <f t="shared" si="41"/>
        <v>87.66999999999985</v>
      </c>
      <c r="P121" s="60" t="e">
        <f t="shared" si="42"/>
        <v>#DIV/0!</v>
      </c>
      <c r="Q121" s="60">
        <f>N121-6463.4</f>
        <v>-6375.73</v>
      </c>
      <c r="R121" s="138">
        <f>N121/6463.4</f>
        <v>0.013564068446947405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414.33</v>
      </c>
      <c r="G122" s="49">
        <f t="shared" si="37"/>
        <v>414.33</v>
      </c>
      <c r="H122" s="40" t="e">
        <f t="shared" si="39"/>
        <v>#DIV/0!</v>
      </c>
      <c r="I122" s="60">
        <f t="shared" si="38"/>
        <v>414.33</v>
      </c>
      <c r="J122" s="60" t="e">
        <f>F122/D122*100</f>
        <v>#DIV/0!</v>
      </c>
      <c r="K122" s="60">
        <f>F122-314.5</f>
        <v>99.82999999999998</v>
      </c>
      <c r="L122" s="138">
        <f>F122/314.5</f>
        <v>1.3174244833068363</v>
      </c>
      <c r="M122" s="40">
        <f>E122-лютий!E122</f>
        <v>0</v>
      </c>
      <c r="N122" s="40">
        <f>F122-лютий!F122</f>
        <v>326.92999999999995</v>
      </c>
      <c r="O122" s="53">
        <f t="shared" si="41"/>
        <v>326.92999999999995</v>
      </c>
      <c r="P122" s="60" t="e">
        <f t="shared" si="42"/>
        <v>#DIV/0!</v>
      </c>
      <c r="Q122" s="60">
        <f>N122-7.7</f>
        <v>319.22999999999996</v>
      </c>
      <c r="R122" s="138">
        <f>N122/7.7</f>
        <v>42.45844155844155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21134.01</v>
      </c>
      <c r="G123" s="62">
        <f t="shared" si="37"/>
        <v>2521.41</v>
      </c>
      <c r="H123" s="72">
        <f t="shared" si="39"/>
        <v>113.54679088359498</v>
      </c>
      <c r="I123" s="61">
        <f t="shared" si="38"/>
        <v>-4853.375</v>
      </c>
      <c r="J123" s="61">
        <f>F123/D123*100</f>
        <v>81.32411167957069</v>
      </c>
      <c r="K123" s="61">
        <f>F123-24840.3</f>
        <v>-3706.290000000001</v>
      </c>
      <c r="L123" s="139">
        <f>F123/24840.3</f>
        <v>0.8507952802502385</v>
      </c>
      <c r="M123" s="62">
        <f>M119+M120+M121+M122+M118</f>
        <v>3092.999999999998</v>
      </c>
      <c r="N123" s="62">
        <f>N119+N120+N121+N122+N118</f>
        <v>2588.809999999997</v>
      </c>
      <c r="O123" s="61">
        <f t="shared" si="41"/>
        <v>-504.19000000000096</v>
      </c>
      <c r="P123" s="61">
        <f t="shared" si="42"/>
        <v>83.69899773682505</v>
      </c>
      <c r="Q123" s="61">
        <f>N123-9266.6</f>
        <v>-6677.790000000003</v>
      </c>
      <c r="R123" s="139">
        <f>N123/9266.6</f>
        <v>0.279369995467593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4.13</v>
      </c>
      <c r="G124" s="49">
        <f t="shared" si="37"/>
        <v>-4.03</v>
      </c>
      <c r="H124" s="40">
        <f t="shared" si="39"/>
        <v>50.61274509803921</v>
      </c>
      <c r="I124" s="60">
        <f t="shared" si="38"/>
        <v>-39.37</v>
      </c>
      <c r="J124" s="60">
        <f>F124/D124*100</f>
        <v>9.494252873563218</v>
      </c>
      <c r="K124" s="60">
        <f>F124-97</f>
        <v>-92.87</v>
      </c>
      <c r="L124" s="138">
        <f>F124/97</f>
        <v>0.042577319587628865</v>
      </c>
      <c r="M124" s="40">
        <f>E124-лютий!E124</f>
        <v>3</v>
      </c>
      <c r="N124" s="40">
        <f>F124-лютий!F124</f>
        <v>3.9699999999999998</v>
      </c>
      <c r="O124" s="53">
        <f t="shared" si="41"/>
        <v>0.9699999999999998</v>
      </c>
      <c r="P124" s="60">
        <f>N124/M124*100</f>
        <v>132.33333333333331</v>
      </c>
      <c r="Q124" s="60">
        <f>N124-70.5</f>
        <v>-66.53</v>
      </c>
      <c r="R124" s="138">
        <f>N124/70.5</f>
        <v>0.05631205673758865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2603.24</v>
      </c>
      <c r="G127" s="49">
        <f aca="true" t="shared" si="43" ref="G127:G134">F127-E127</f>
        <v>95.73999999999978</v>
      </c>
      <c r="H127" s="40">
        <f>F127/E127*100</f>
        <v>103.81814556331005</v>
      </c>
      <c r="I127" s="60">
        <f aca="true" t="shared" si="44" ref="I127:I134">F127-D127</f>
        <v>-6096.76</v>
      </c>
      <c r="J127" s="60">
        <f>F127/D127*100</f>
        <v>29.92229885057471</v>
      </c>
      <c r="K127" s="60">
        <f>F127-2439.6</f>
        <v>163.63999999999987</v>
      </c>
      <c r="L127" s="138">
        <f>F127/2439.6</f>
        <v>1.0670765699294966</v>
      </c>
      <c r="M127" s="40">
        <f>E127-лютий!E127</f>
        <v>0</v>
      </c>
      <c r="N127" s="40">
        <f>F127-лютий!F127</f>
        <v>-881.4000000000001</v>
      </c>
      <c r="O127" s="53">
        <f aca="true" t="shared" si="45" ref="O127:O134">N127-M127</f>
        <v>-881.4000000000001</v>
      </c>
      <c r="P127" s="60" t="e">
        <f>N127/M127*100</f>
        <v>#DIV/0!</v>
      </c>
      <c r="Q127" s="60">
        <f>N127-0.4</f>
        <v>-881.8000000000001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-0.25</v>
      </c>
      <c r="G128" s="49">
        <f t="shared" si="43"/>
        <v>-0.25</v>
      </c>
      <c r="H128" s="40"/>
      <c r="I128" s="60">
        <f t="shared" si="44"/>
        <v>-0.25</v>
      </c>
      <c r="J128" s="60"/>
      <c r="K128" s="60">
        <f>F128-(-0.8)</f>
        <v>0.55</v>
      </c>
      <c r="L128" s="138">
        <f>F128/(-0.8)</f>
        <v>0.3125</v>
      </c>
      <c r="M128" s="40">
        <f>E128-лютий!E128</f>
        <v>0</v>
      </c>
      <c r="N128" s="40">
        <f>F128-лютий!F128</f>
        <v>-0.01999999999999999</v>
      </c>
      <c r="O128" s="53">
        <f t="shared" si="45"/>
        <v>-0.01999999999999999</v>
      </c>
      <c r="P128" s="60"/>
      <c r="Q128" s="60">
        <f>N128-(-0.1)</f>
        <v>0.08000000000000002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2615.88</v>
      </c>
      <c r="G129" s="62">
        <f t="shared" si="43"/>
        <v>93.02000000000044</v>
      </c>
      <c r="H129" s="72">
        <f>F129/E129*100</f>
        <v>103.68708529208917</v>
      </c>
      <c r="I129" s="61">
        <f t="shared" si="44"/>
        <v>-6134.820000000001</v>
      </c>
      <c r="J129" s="61">
        <f>F129/D129*100</f>
        <v>29.893379958174776</v>
      </c>
      <c r="K129" s="61">
        <f>F129-2544.3</f>
        <v>71.57999999999993</v>
      </c>
      <c r="L129" s="139">
        <f>G129/2544.3</f>
        <v>0.03656015406988187</v>
      </c>
      <c r="M129" s="62">
        <f>M124+M127+M128+M126</f>
        <v>3</v>
      </c>
      <c r="N129" s="62">
        <f>N124+N127+N128+N126</f>
        <v>-877.45</v>
      </c>
      <c r="O129" s="61">
        <f t="shared" si="45"/>
        <v>-880.45</v>
      </c>
      <c r="P129" s="61">
        <f>N129/M129*100</f>
        <v>-29248.333333333336</v>
      </c>
      <c r="Q129" s="61">
        <f>N129-69.8</f>
        <v>-947.25</v>
      </c>
      <c r="R129" s="137">
        <f>N129/69.8</f>
        <v>-12.570916905444127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1.98</v>
      </c>
      <c r="G130" s="49">
        <f>F130-E130</f>
        <v>-5.869999999999999</v>
      </c>
      <c r="H130" s="40">
        <f>F130/E130*100</f>
        <v>25.222929936305732</v>
      </c>
      <c r="I130" s="60">
        <f>F130-D130</f>
        <v>-28.02</v>
      </c>
      <c r="J130" s="60">
        <f>F130/D130*100</f>
        <v>6.6000000000000005</v>
      </c>
      <c r="K130" s="60">
        <f>F130-8.4</f>
        <v>-6.42</v>
      </c>
      <c r="L130" s="138">
        <f>F130/8.4</f>
        <v>0.2357142857142857</v>
      </c>
      <c r="M130" s="40">
        <f>E130-лютий!E130</f>
        <v>7</v>
      </c>
      <c r="N130" s="40">
        <f>F130-лютий!F130</f>
        <v>0</v>
      </c>
      <c r="O130" s="53">
        <f>N130-M130</f>
        <v>-7</v>
      </c>
      <c r="P130" s="60">
        <f>N130/M130*100</f>
        <v>0</v>
      </c>
      <c r="Q130" s="60">
        <f>N130-7.3</f>
        <v>-7.3</v>
      </c>
      <c r="R130" s="138">
        <f>N130/7.3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24027.17</v>
      </c>
      <c r="G133" s="50">
        <f t="shared" si="43"/>
        <v>2100.7599999999984</v>
      </c>
      <c r="H133" s="51">
        <f>F133/E133*100</f>
        <v>109.58095739338998</v>
      </c>
      <c r="I133" s="36">
        <f t="shared" si="44"/>
        <v>-14680.515</v>
      </c>
      <c r="J133" s="36">
        <f>F133/D133*100</f>
        <v>62.07338413547594</v>
      </c>
      <c r="K133" s="36">
        <f>F133-28295.3</f>
        <v>-4268.130000000001</v>
      </c>
      <c r="L133" s="136">
        <f>F133/28295.3</f>
        <v>0.849157633953342</v>
      </c>
      <c r="M133" s="31">
        <f>M116+M130+M123+M129+M132+M131</f>
        <v>3452.499999999998</v>
      </c>
      <c r="N133" s="31">
        <f>N116+N130+N123+N129+N132+N131</f>
        <v>1763.3399999999972</v>
      </c>
      <c r="O133" s="36">
        <f t="shared" si="45"/>
        <v>-1689.160000000001</v>
      </c>
      <c r="P133" s="36">
        <f>N133/M133*100</f>
        <v>51.07429398986236</v>
      </c>
      <c r="Q133" s="36">
        <f>N133-9597.2</f>
        <v>-7833.860000000003</v>
      </c>
      <c r="R133" s="136">
        <f>N133/9597.2</f>
        <v>0.18373483932813706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115046.49</v>
      </c>
      <c r="G134" s="50">
        <f t="shared" si="43"/>
        <v>-24956.020000000004</v>
      </c>
      <c r="H134" s="51">
        <f>F134/E134*100</f>
        <v>82.1745910126897</v>
      </c>
      <c r="I134" s="36">
        <f t="shared" si="44"/>
        <v>-460701.095</v>
      </c>
      <c r="J134" s="36">
        <f>F134/D134*100</f>
        <v>19.982105526330606</v>
      </c>
      <c r="K134" s="36">
        <f>F134-143076.7</f>
        <v>-28030.210000000006</v>
      </c>
      <c r="L134" s="136">
        <f>F134/143076.7</f>
        <v>0.8040896246558664</v>
      </c>
      <c r="M134" s="22">
        <f>M106+M133</f>
        <v>45592.60000000001</v>
      </c>
      <c r="N134" s="22">
        <f>N106+N133</f>
        <v>21362.2</v>
      </c>
      <c r="O134" s="36">
        <f t="shared" si="45"/>
        <v>-24230.400000000012</v>
      </c>
      <c r="P134" s="36">
        <f>N134/M134*100</f>
        <v>46.854533411123725</v>
      </c>
      <c r="Q134" s="36">
        <f>N134-49077.7</f>
        <v>-27715.499999999996</v>
      </c>
      <c r="R134" s="136">
        <f>N134/49077.7</f>
        <v>0.4352730466179141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7</v>
      </c>
      <c r="D136" s="4" t="s">
        <v>118</v>
      </c>
    </row>
    <row r="137" spans="2:17" ht="31.5">
      <c r="B137" s="78" t="s">
        <v>154</v>
      </c>
      <c r="C137" s="39">
        <f>IF(O106&lt;0,ABS(O106/C136),0)</f>
        <v>3220.177142857144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41718</v>
      </c>
      <c r="D138" s="39">
        <v>3705.4</v>
      </c>
      <c r="N138" s="152"/>
      <c r="O138" s="152"/>
    </row>
    <row r="139" spans="3:15" ht="15.75">
      <c r="C139" s="120">
        <v>41717</v>
      </c>
      <c r="D139" s="39">
        <v>995.1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41716</v>
      </c>
      <c r="D140" s="39">
        <v>644.5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111898.23148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102073.83788999998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N3:R3"/>
    <mergeCell ref="K4:L5"/>
    <mergeCell ref="F3:L3"/>
    <mergeCell ref="Q4:R5"/>
    <mergeCell ref="D3:E4"/>
    <mergeCell ref="M3:M4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F4:F5"/>
    <mergeCell ref="G4:G5"/>
    <mergeCell ref="H4:H5"/>
    <mergeCell ref="I4:I5"/>
    <mergeCell ref="A1:P1"/>
    <mergeCell ref="B2:D2"/>
    <mergeCell ref="A3:A5"/>
    <mergeCell ref="B3:B5"/>
    <mergeCell ref="C3:C5"/>
  </mergeCells>
  <printOptions/>
  <pageMargins left="0.4" right="0.18" top="0.26" bottom="0.36" header="0.17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Q56" sqref="Q5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186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189</v>
      </c>
      <c r="N3" s="172" t="s">
        <v>184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193</v>
      </c>
      <c r="F4" s="173" t="s">
        <v>116</v>
      </c>
      <c r="G4" s="175" t="s">
        <v>194</v>
      </c>
      <c r="H4" s="177" t="s">
        <v>167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89"/>
      <c r="N4" s="168" t="s">
        <v>192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183</v>
      </c>
      <c r="L5" s="164"/>
      <c r="M5" s="189"/>
      <c r="N5" s="169"/>
      <c r="O5" s="171"/>
      <c r="P5" s="172"/>
      <c r="Q5" s="153" t="s">
        <v>199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181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94">
        <f>N55-4413.4</f>
        <v>378.8000000000011</v>
      </c>
      <c r="R55" s="19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65.39999999999999</v>
      </c>
      <c r="O102" s="53"/>
      <c r="P102" s="60"/>
      <c r="Q102" s="60">
        <f>N102-26.6</f>
        <v>38.79999999999999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7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-1650.969</v>
      </c>
      <c r="J110" s="52"/>
      <c r="K110" s="52"/>
      <c r="L110" s="137"/>
      <c r="M110" s="40">
        <f>E110-'січень '!E110</f>
        <v>1650.981</v>
      </c>
      <c r="N110" s="71">
        <f>F110-'січень '!F110</f>
        <v>1650.98</v>
      </c>
      <c r="O110" s="86"/>
      <c r="P110" s="52">
        <f>N110/M110*100</f>
        <v>99.99993942995104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9" t="s">
        <v>182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190</v>
      </c>
      <c r="E3" s="46"/>
      <c r="F3" s="186" t="s">
        <v>107</v>
      </c>
      <c r="G3" s="187"/>
      <c r="H3" s="187"/>
      <c r="I3" s="187"/>
      <c r="J3" s="188"/>
      <c r="K3" s="123"/>
      <c r="L3" s="123"/>
      <c r="M3" s="197" t="s">
        <v>200</v>
      </c>
      <c r="N3" s="172" t="s">
        <v>177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174</v>
      </c>
      <c r="H4" s="177" t="s">
        <v>175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98"/>
      <c r="N4" s="168" t="s">
        <v>185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176</v>
      </c>
      <c r="L5" s="164"/>
      <c r="M5" s="199"/>
      <c r="N5" s="169"/>
      <c r="O5" s="171"/>
      <c r="P5" s="172"/>
      <c r="Q5" s="153" t="s">
        <v>178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9">N20-194.7</f>
        <v>-194.7</v>
      </c>
      <c r="R20" s="135">
        <f aca="true" t="shared" si="15" ref="R20:R29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9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5">N34-6172.8</f>
        <v>-6172.8</v>
      </c>
      <c r="R34" s="142">
        <f aca="true" t="shared" si="24" ref="R34:R55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181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94">
        <f>N55-4574.2</f>
        <v>113.71000000000004</v>
      </c>
      <c r="R55" s="19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64.7</v>
      </c>
      <c r="G102" s="144"/>
      <c r="H102" s="146"/>
      <c r="I102" s="145"/>
      <c r="J102" s="145"/>
      <c r="K102" s="145">
        <f>F102-30.6</f>
        <v>34.1</v>
      </c>
      <c r="L102" s="148">
        <f>F102/30.6*100</f>
        <v>211.43790849673204</v>
      </c>
      <c r="M102" s="40">
        <f t="shared" si="39"/>
        <v>0</v>
      </c>
      <c r="N102" s="40">
        <f t="shared" si="40"/>
        <v>64.7</v>
      </c>
      <c r="O102" s="53"/>
      <c r="P102" s="56"/>
      <c r="Q102" s="56">
        <f>N102-30.6</f>
        <v>34.1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-392918.58</v>
      </c>
      <c r="J109" s="52">
        <f t="shared" si="46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4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2014-03-21T09:47:38Z</cp:lastPrinted>
  <dcterms:created xsi:type="dcterms:W3CDTF">2003-07-28T11:27:56Z</dcterms:created>
  <dcterms:modified xsi:type="dcterms:W3CDTF">2014-03-21T09:48:04Z</dcterms:modified>
  <cp:category/>
  <cp:version/>
  <cp:contentType/>
  <cp:contentStatus/>
</cp:coreProperties>
</file>